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20115" windowHeight="7440"/>
  </bookViews>
  <sheets>
    <sheet name="diseño viga rectangular" sheetId="1" r:id="rId1"/>
    <sheet name="Combinacion Acero" sheetId="4" r:id="rId2"/>
    <sheet name="Hoja2" sheetId="2" r:id="rId3"/>
    <sheet name="Hoja3" sheetId="3" r:id="rId4"/>
  </sheets>
  <calcPr calcId="145621"/>
</workbook>
</file>

<file path=xl/calcChain.xml><?xml version="1.0" encoding="utf-8"?>
<calcChain xmlns="http://schemas.openxmlformats.org/spreadsheetml/2006/main">
  <c r="H46" i="1" l="1"/>
  <c r="H47" i="1"/>
  <c r="L23" i="1" s="1"/>
  <c r="M23" i="1" s="1"/>
  <c r="N23" i="1" s="1"/>
  <c r="H48" i="1"/>
  <c r="H49" i="1"/>
  <c r="H50" i="1"/>
  <c r="H51" i="1"/>
  <c r="H52" i="1"/>
  <c r="L17" i="1"/>
  <c r="M17" i="1" s="1"/>
  <c r="N17" i="1" s="1"/>
  <c r="L18" i="1"/>
  <c r="M18" i="1"/>
  <c r="N18" i="1" s="1"/>
  <c r="L19" i="1"/>
  <c r="M19" i="1"/>
  <c r="N19" i="1"/>
  <c r="L20" i="1"/>
  <c r="M20" i="1"/>
  <c r="N20" i="1"/>
  <c r="L21" i="1"/>
  <c r="M21" i="1" s="1"/>
  <c r="N21" i="1" s="1"/>
  <c r="L22" i="1"/>
  <c r="M22" i="1" s="1"/>
  <c r="N22" i="1" s="1"/>
  <c r="L24" i="1"/>
  <c r="M24" i="1"/>
  <c r="N24" i="1"/>
  <c r="J18" i="1"/>
  <c r="H42" i="1" s="1"/>
  <c r="J19" i="1"/>
  <c r="J20" i="1"/>
  <c r="J21" i="1"/>
  <c r="J22" i="1"/>
  <c r="J23" i="1"/>
  <c r="J24" i="1"/>
  <c r="J17" i="1"/>
  <c r="I24" i="1"/>
  <c r="K24" i="1"/>
  <c r="I23" i="1"/>
  <c r="K23" i="1"/>
  <c r="I22" i="1"/>
  <c r="K22" i="1"/>
  <c r="I21" i="1"/>
  <c r="K21" i="1"/>
  <c r="I20" i="1"/>
  <c r="K20" i="1"/>
  <c r="I19" i="1"/>
  <c r="K19" i="1"/>
  <c r="I18" i="1"/>
  <c r="K18" i="1"/>
  <c r="I17" i="1"/>
  <c r="H41" i="1" s="1"/>
  <c r="K17" i="1"/>
  <c r="H35" i="1"/>
  <c r="L11" i="1" s="1"/>
  <c r="M11" i="1" s="1"/>
  <c r="N11" i="1" s="1"/>
  <c r="H36" i="1"/>
  <c r="H37" i="1"/>
  <c r="H38" i="1"/>
  <c r="L14" i="1" s="1"/>
  <c r="M14" i="1" s="1"/>
  <c r="N14" i="1" s="1"/>
  <c r="H39" i="1"/>
  <c r="H40" i="1"/>
  <c r="H43" i="1"/>
  <c r="H44" i="1"/>
  <c r="H45" i="1"/>
  <c r="L12" i="1"/>
  <c r="M12" i="1"/>
  <c r="N12" i="1" s="1"/>
  <c r="L13" i="1"/>
  <c r="M13" i="1"/>
  <c r="N13" i="1" s="1"/>
  <c r="L15" i="1"/>
  <c r="M15" i="1" s="1"/>
  <c r="N15" i="1" s="1"/>
  <c r="L16" i="1"/>
  <c r="M16" i="1" s="1"/>
  <c r="N16" i="1" s="1"/>
  <c r="I16" i="1"/>
  <c r="J16" i="1" s="1"/>
  <c r="K16" i="1"/>
  <c r="I15" i="1"/>
  <c r="J15" i="1" s="1"/>
  <c r="K15" i="1"/>
  <c r="I14" i="1"/>
  <c r="J14" i="1" s="1"/>
  <c r="K14" i="1"/>
  <c r="I13" i="1"/>
  <c r="J13" i="1" s="1"/>
  <c r="K13" i="1"/>
  <c r="I12" i="1"/>
  <c r="J12" i="1" s="1"/>
  <c r="K12" i="1"/>
  <c r="I11" i="1"/>
  <c r="J11" i="1"/>
  <c r="K11" i="1"/>
  <c r="T5" i="4" l="1"/>
  <c r="O5" i="4" l="1"/>
  <c r="D7" i="4"/>
  <c r="E7" i="4" s="1"/>
  <c r="D8" i="4"/>
  <c r="J16" i="4" s="1"/>
  <c r="E8" i="4"/>
  <c r="D9" i="4"/>
  <c r="E9" i="4" s="1"/>
  <c r="D10" i="4"/>
  <c r="L18" i="4" s="1"/>
  <c r="E10" i="4"/>
  <c r="D11" i="4"/>
  <c r="E11" i="4" s="1"/>
  <c r="D15" i="4"/>
  <c r="I15" i="4" s="1"/>
  <c r="E15" i="4"/>
  <c r="K15" i="4"/>
  <c r="D16" i="4"/>
  <c r="E16" i="4"/>
  <c r="I16" i="4"/>
  <c r="M16" i="4"/>
  <c r="D17" i="4"/>
  <c r="E17" i="4" s="1"/>
  <c r="I17" i="4"/>
  <c r="J17" i="4"/>
  <c r="K17" i="4"/>
  <c r="D18" i="4"/>
  <c r="E18" i="4" s="1"/>
  <c r="J18" i="4"/>
  <c r="K18" i="4"/>
  <c r="D19" i="4"/>
  <c r="M15" i="4" s="1"/>
  <c r="E19" i="4"/>
  <c r="J19" i="4"/>
  <c r="K19" i="4"/>
  <c r="L19" i="4"/>
  <c r="D23" i="4"/>
  <c r="Q23" i="4" s="1"/>
  <c r="E23" i="4"/>
  <c r="I23" i="4"/>
  <c r="L23" i="4"/>
  <c r="M23" i="4"/>
  <c r="S23" i="4"/>
  <c r="T23" i="4"/>
  <c r="D24" i="4"/>
  <c r="J24" i="4" s="1"/>
  <c r="E24" i="4"/>
  <c r="I24" i="4"/>
  <c r="L24" i="4"/>
  <c r="M24" i="4"/>
  <c r="S24" i="4"/>
  <c r="T24" i="4"/>
  <c r="D25" i="4"/>
  <c r="K24" i="4" s="1"/>
  <c r="E25" i="4"/>
  <c r="I25" i="4"/>
  <c r="J25" i="4"/>
  <c r="K25" i="4"/>
  <c r="L25" i="4"/>
  <c r="M25" i="4"/>
  <c r="Q25" i="4"/>
  <c r="R25" i="4"/>
  <c r="S25" i="4"/>
  <c r="T25" i="4"/>
  <c r="D26" i="4"/>
  <c r="E26" i="4"/>
  <c r="I26" i="4"/>
  <c r="M26" i="4"/>
  <c r="S26" i="4"/>
  <c r="T26" i="4"/>
  <c r="D27" i="4"/>
  <c r="U23" i="4" s="1"/>
  <c r="E27" i="4"/>
  <c r="I27" i="4"/>
  <c r="L27" i="4"/>
  <c r="M27" i="4"/>
  <c r="Q27" i="4"/>
  <c r="R27" i="4"/>
  <c r="S27" i="4"/>
  <c r="T27" i="4"/>
  <c r="U27" i="4"/>
  <c r="D31" i="4"/>
  <c r="E31" i="4"/>
  <c r="I31" i="4"/>
  <c r="L31" i="4"/>
  <c r="M31" i="4"/>
  <c r="S31" i="4"/>
  <c r="T31" i="4"/>
  <c r="D32" i="4"/>
  <c r="J31" i="4" s="1"/>
  <c r="E32" i="4"/>
  <c r="I32" i="4"/>
  <c r="L32" i="4"/>
  <c r="M32" i="4"/>
  <c r="Q32" i="4"/>
  <c r="R32" i="4"/>
  <c r="S32" i="4"/>
  <c r="T32" i="4"/>
  <c r="D33" i="4"/>
  <c r="K31" i="4" s="1"/>
  <c r="E33" i="4"/>
  <c r="I33" i="4"/>
  <c r="J33" i="4"/>
  <c r="K33" i="4"/>
  <c r="L33" i="4"/>
  <c r="M33" i="4"/>
  <c r="Q33" i="4"/>
  <c r="R33" i="4"/>
  <c r="S33" i="4"/>
  <c r="T33" i="4"/>
  <c r="D34" i="4"/>
  <c r="E34" i="4"/>
  <c r="I34" i="4"/>
  <c r="J34" i="4"/>
  <c r="K34" i="4"/>
  <c r="L34" i="4"/>
  <c r="M34" i="4"/>
  <c r="T34" i="4"/>
  <c r="D35" i="4"/>
  <c r="U32" i="4" s="1"/>
  <c r="E35" i="4"/>
  <c r="I35" i="4"/>
  <c r="J35" i="4"/>
  <c r="K35" i="4"/>
  <c r="L35" i="4"/>
  <c r="M35" i="4"/>
  <c r="S35" i="4"/>
  <c r="T35" i="4"/>
  <c r="R35" i="4" l="1"/>
  <c r="R34" i="4"/>
  <c r="K32" i="4"/>
  <c r="R31" i="4"/>
  <c r="K27" i="4"/>
  <c r="R26" i="4"/>
  <c r="K26" i="4"/>
  <c r="R24" i="4"/>
  <c r="R23" i="4"/>
  <c r="K23" i="4"/>
  <c r="M18" i="4"/>
  <c r="I18" i="4"/>
  <c r="L17" i="4"/>
  <c r="K16" i="4"/>
  <c r="J15" i="4"/>
  <c r="L15" i="4"/>
  <c r="S34" i="4"/>
  <c r="L26" i="4"/>
  <c r="M17" i="4"/>
  <c r="L16" i="4"/>
  <c r="U35" i="4"/>
  <c r="Q35" i="4"/>
  <c r="U34" i="4"/>
  <c r="Q34" i="4"/>
  <c r="U33" i="4"/>
  <c r="J32" i="4"/>
  <c r="U31" i="4"/>
  <c r="Q31" i="4"/>
  <c r="J27" i="4"/>
  <c r="U26" i="4"/>
  <c r="Q26" i="4"/>
  <c r="J26" i="4"/>
  <c r="U25" i="4"/>
  <c r="U24" i="4"/>
  <c r="Q24" i="4"/>
  <c r="J23" i="4"/>
  <c r="M19" i="4"/>
  <c r="I19" i="4"/>
  <c r="C8" i="1" l="1"/>
  <c r="I10" i="1" l="1"/>
  <c r="I9" i="1"/>
  <c r="I5" i="1" l="1"/>
  <c r="I6" i="1"/>
  <c r="I7" i="1"/>
  <c r="I8" i="1"/>
  <c r="I4" i="1" l="1"/>
  <c r="C17" i="1"/>
  <c r="C32" i="1" l="1"/>
  <c r="C33" i="1"/>
  <c r="J10" i="1"/>
  <c r="J5" i="1"/>
  <c r="J9" i="1"/>
  <c r="J6" i="1"/>
  <c r="J7" i="1"/>
  <c r="J8" i="1"/>
  <c r="C25" i="1"/>
  <c r="C20" i="1"/>
  <c r="J4" i="1"/>
  <c r="C34" i="1" l="1"/>
  <c r="H28" i="1" s="1"/>
  <c r="L4" i="1" s="1"/>
  <c r="M4" i="1" s="1"/>
  <c r="C22" i="1"/>
  <c r="C21" i="1"/>
  <c r="C26" i="1"/>
  <c r="C27" i="1"/>
  <c r="H33" i="1" l="1"/>
  <c r="L9" i="1" s="1"/>
  <c r="M9" i="1" s="1"/>
  <c r="N9" i="1" s="1"/>
  <c r="H31" i="1"/>
  <c r="L7" i="1" s="1"/>
  <c r="M7" i="1" s="1"/>
  <c r="N7" i="1" s="1"/>
  <c r="H30" i="1"/>
  <c r="L6" i="1" s="1"/>
  <c r="M6" i="1" s="1"/>
  <c r="N6" i="1" s="1"/>
  <c r="H29" i="1"/>
  <c r="L5" i="1" s="1"/>
  <c r="M5" i="1" s="1"/>
  <c r="N5" i="1" s="1"/>
  <c r="N4" i="1"/>
  <c r="H32" i="1"/>
  <c r="L8" i="1" s="1"/>
  <c r="M8" i="1" s="1"/>
  <c r="N8" i="1" s="1"/>
  <c r="H34" i="1"/>
  <c r="C23" i="1"/>
  <c r="C28" i="1"/>
  <c r="C29" i="1" s="1"/>
  <c r="L10" i="1" l="1"/>
  <c r="M10" i="1" s="1"/>
  <c r="N10" i="1" s="1"/>
  <c r="C24" i="1"/>
  <c r="K4" i="1" l="1"/>
  <c r="K6" i="1"/>
  <c r="K10" i="1"/>
  <c r="K5" i="1"/>
  <c r="K9" i="1"/>
  <c r="K8" i="1"/>
  <c r="K7" i="1"/>
</calcChain>
</file>

<file path=xl/sharedStrings.xml><?xml version="1.0" encoding="utf-8"?>
<sst xmlns="http://schemas.openxmlformats.org/spreadsheetml/2006/main" count="67" uniqueCount="56">
  <si>
    <t>Propiedades del material</t>
  </si>
  <si>
    <t>fy (Mpa)</t>
  </si>
  <si>
    <t>f'c (Mpa)</t>
  </si>
  <si>
    <t>lambda</t>
  </si>
  <si>
    <t>Eacero (Mpa)</t>
  </si>
  <si>
    <t>Econcreto (Mpa)</t>
  </si>
  <si>
    <t>ɣ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</si>
  <si>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1</t>
    </r>
  </si>
  <si>
    <t>Propiedades Sección</t>
  </si>
  <si>
    <t>Ancho (cm)</t>
  </si>
  <si>
    <t>Alto (cm)</t>
  </si>
  <si>
    <t>Recubrimiento (cm)</t>
  </si>
  <si>
    <t>d (cm)</t>
  </si>
  <si>
    <t>Condiciones Máxima-Balanceada</t>
  </si>
  <si>
    <t>c_max (cm)</t>
  </si>
  <si>
    <t>a_max (cm)</t>
  </si>
  <si>
    <t>As_max (cm^2)</t>
  </si>
  <si>
    <t>Mn_max (kN*m)</t>
  </si>
  <si>
    <t>Mu_max (kN*m)</t>
  </si>
  <si>
    <t>Mn_bal (kN*m)</t>
  </si>
  <si>
    <t>c_bal (cm)</t>
  </si>
  <si>
    <t>a_bal (cm)</t>
  </si>
  <si>
    <t>As_bal (cm^2)</t>
  </si>
  <si>
    <t>Mu_bal (kN*m)</t>
  </si>
  <si>
    <t>As_min1</t>
  </si>
  <si>
    <t>As_min2</t>
  </si>
  <si>
    <t>Punto</t>
  </si>
  <si>
    <t>A</t>
  </si>
  <si>
    <t>AB</t>
  </si>
  <si>
    <t>B</t>
  </si>
  <si>
    <t>BC</t>
  </si>
  <si>
    <t>C</t>
  </si>
  <si>
    <t>Mu_Dado (kN*m)</t>
  </si>
  <si>
    <t>Mn_Dado (kN*m)</t>
  </si>
  <si>
    <t>Refuerzo Simple</t>
  </si>
  <si>
    <t>Mn_Recalculado (kN*m)</t>
  </si>
  <si>
    <t>Mu_recalcualdo (kN*m)</t>
  </si>
  <si>
    <t>As_Requerido_Analisis (cm^2)</t>
  </si>
  <si>
    <t>As_Requerido_Mínimo (cm^2)</t>
  </si>
  <si>
    <t>M_recalculado con As_req_Mínimo</t>
  </si>
  <si>
    <t>Diseño SIMPLE_REFUERZO</t>
  </si>
  <si>
    <t>1.33*As</t>
  </si>
  <si>
    <t xml:space="preserve"> </t>
  </si>
  <si>
    <t>max As entre 1-2</t>
  </si>
  <si>
    <t>Barra # 6</t>
  </si>
  <si>
    <t>Barra # 7</t>
  </si>
  <si>
    <t>Barra # 8</t>
  </si>
  <si>
    <t>Barras #8</t>
  </si>
  <si>
    <t>Barra # 5</t>
  </si>
  <si>
    <t>Barras #7</t>
  </si>
  <si>
    <t>Barras #6</t>
  </si>
  <si>
    <t>2#4</t>
  </si>
  <si>
    <t>#4</t>
  </si>
  <si>
    <t>COMBINACIÓN DE ACEROS</t>
  </si>
  <si>
    <t>1#3</t>
  </si>
  <si>
    <t>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</si>
</sst>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6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0" fillId="0" borderId="10" xfId="0" applyBorder="1"/>
    <xf numFmtId="0" fontId="3" fillId="0" borderId="9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10" borderId="0" xfId="0" applyFill="1" applyAlignment="1">
      <alignment horizontal="center" vertical="center" textRotation="90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 textRotation="90"/>
    </xf>
    <xf numFmtId="0" fontId="0" fillId="7" borderId="0" xfId="0" applyFill="1" applyAlignment="1">
      <alignment horizontal="center" vertical="center" textRotation="90"/>
    </xf>
    <xf numFmtId="0" fontId="0" fillId="6" borderId="0" xfId="0" applyFill="1" applyAlignment="1">
      <alignment horizontal="center" vertical="center" textRotation="90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165" fontId="0" fillId="2" borderId="14" xfId="0" applyNumberFormat="1" applyFill="1" applyBorder="1" applyAlignment="1">
      <alignment horizontal="center"/>
    </xf>
    <xf numFmtId="0" fontId="0" fillId="9" borderId="14" xfId="0" applyFill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2"/>
  <sheetViews>
    <sheetView tabSelected="1" topLeftCell="C1" zoomScale="80" zoomScaleNormal="80" workbookViewId="0">
      <selection activeCell="L24" sqref="L24"/>
    </sheetView>
  </sheetViews>
  <sheetFormatPr baseColWidth="10" defaultRowHeight="15" x14ac:dyDescent="0.25"/>
  <cols>
    <col min="2" max="2" width="19.85546875" customWidth="1"/>
    <col min="3" max="3" width="11.5703125" bestFit="1" customWidth="1"/>
    <col min="8" max="8" width="19.140625" customWidth="1"/>
    <col min="9" max="9" width="18.28515625" customWidth="1"/>
    <col min="10" max="10" width="28" customWidth="1"/>
    <col min="11" max="11" width="20.28515625" customWidth="1"/>
    <col min="12" max="12" width="29.5703125" customWidth="1"/>
    <col min="13" max="13" width="23.85546875" customWidth="1"/>
    <col min="14" max="14" width="24.42578125" customWidth="1"/>
    <col min="15" max="15" width="23.7109375" customWidth="1"/>
    <col min="16" max="16" width="22.28515625" customWidth="1"/>
    <col min="17" max="17" width="14" customWidth="1"/>
    <col min="18" max="18" width="8.140625" customWidth="1"/>
    <col min="19" max="19" width="8" customWidth="1"/>
    <col min="20" max="20" width="16.42578125" customWidth="1"/>
    <col min="21" max="21" width="9.42578125" customWidth="1"/>
    <col min="22" max="22" width="8.5703125" customWidth="1"/>
    <col min="23" max="23" width="9.140625" customWidth="1"/>
    <col min="24" max="24" width="7.85546875" customWidth="1"/>
    <col min="25" max="25" width="7.140625" customWidth="1"/>
    <col min="26" max="26" width="10.140625" customWidth="1"/>
  </cols>
  <sheetData>
    <row r="1" spans="2:26" x14ac:dyDescent="0.25">
      <c r="J1" s="37" t="s">
        <v>40</v>
      </c>
      <c r="K1" s="37"/>
    </row>
    <row r="2" spans="2:26" x14ac:dyDescent="0.25">
      <c r="M2" s="36" t="s">
        <v>39</v>
      </c>
      <c r="N2" s="36"/>
      <c r="R2" s="14"/>
      <c r="S2" s="18"/>
      <c r="T2" s="18"/>
      <c r="U2" s="18"/>
      <c r="V2" s="14"/>
      <c r="W2" s="14"/>
      <c r="X2" s="14"/>
      <c r="Y2" s="14"/>
      <c r="Z2" s="14"/>
    </row>
    <row r="3" spans="2:26" x14ac:dyDescent="0.25">
      <c r="B3" s="38" t="s">
        <v>0</v>
      </c>
      <c r="C3" s="38"/>
      <c r="G3" s="11" t="s">
        <v>26</v>
      </c>
      <c r="H3" s="11" t="s">
        <v>32</v>
      </c>
      <c r="I3" s="11" t="s">
        <v>33</v>
      </c>
      <c r="J3" s="11" t="s">
        <v>37</v>
      </c>
      <c r="K3" s="11" t="s">
        <v>34</v>
      </c>
      <c r="L3" s="13" t="s">
        <v>38</v>
      </c>
      <c r="M3" s="11" t="s">
        <v>35</v>
      </c>
      <c r="N3" s="23" t="s">
        <v>36</v>
      </c>
      <c r="Q3" s="14"/>
      <c r="R3" s="14"/>
      <c r="S3" s="18"/>
      <c r="T3" s="18"/>
      <c r="U3" s="18"/>
      <c r="V3" s="14"/>
      <c r="W3" s="14"/>
      <c r="X3" s="14"/>
      <c r="Y3" s="14"/>
      <c r="Z3" s="14"/>
    </row>
    <row r="4" spans="2:26" x14ac:dyDescent="0.25">
      <c r="B4" s="2" t="s">
        <v>1</v>
      </c>
      <c r="C4" s="2">
        <v>420</v>
      </c>
      <c r="G4" s="2" t="s">
        <v>27</v>
      </c>
      <c r="H4" s="2">
        <v>50.35</v>
      </c>
      <c r="I4" s="12">
        <f>H4/0.9</f>
        <v>55.944444444444443</v>
      </c>
      <c r="J4" s="12">
        <f>((($C$4/10000)*$C$17)-SQRT(((($C$4/10000)*$C$17)^2)-(4*(0.1*I4)*((0.5882*(($C$4/10000)^2))/(($C$5/10000)*$C$14)))))/(2*((0.5882*(($C$4/10000)^2))/(($C$5/10000)*$C$14)))</f>
        <v>4.0300690623854258</v>
      </c>
      <c r="K4" s="2" t="str">
        <f>IF(H4&gt;$C$24,"NO","SI")</f>
        <v>SI</v>
      </c>
      <c r="L4" s="25">
        <f t="shared" ref="L4:L10" si="0">IF((J4)=H28,H28,MIN(H28,$C$34))</f>
        <v>5.3599918529726169</v>
      </c>
      <c r="M4" s="12">
        <f>((L4*$C$4*$C$17)-(((L4^2)*($C$4^2))/(2*$C$5*$C$9*$C$14)))*0.001</f>
        <v>73.701531820719126</v>
      </c>
      <c r="N4" s="12">
        <f>M4*0.9</f>
        <v>66.331378638647209</v>
      </c>
      <c r="Q4" s="14"/>
      <c r="R4" s="14"/>
      <c r="S4" s="18"/>
      <c r="T4" s="18"/>
      <c r="U4" s="18"/>
      <c r="V4" s="14"/>
      <c r="W4" s="14"/>
      <c r="X4" s="14"/>
      <c r="Y4" s="14"/>
      <c r="Z4" s="14"/>
    </row>
    <row r="5" spans="2:26" x14ac:dyDescent="0.25">
      <c r="B5" s="2" t="s">
        <v>2</v>
      </c>
      <c r="C5" s="2">
        <v>21</v>
      </c>
      <c r="G5" s="2" t="s">
        <v>28</v>
      </c>
      <c r="H5" s="2">
        <v>151.66</v>
      </c>
      <c r="I5" s="12">
        <f t="shared" ref="I5:I24" si="1">H5/0.9</f>
        <v>168.51111111111109</v>
      </c>
      <c r="J5" s="12">
        <f t="shared" ref="J5:J17" si="2">((($C$4/10000)*$C$17)-SQRT(((($C$4/10000)*$C$17)^2)-(4*(0.1*I5)*((0.5882*(($C$4/10000)^2))/(($C$5/10000)*$C$14)))))/(2*((0.5882*(($C$4/10000)^2))/(($C$5/10000)*$C$14)))</f>
        <v>12.963402650206516</v>
      </c>
      <c r="K5" s="2" t="str">
        <f t="shared" ref="K5:K24" si="3">IF(H5&gt;$C$24,"NO","SI")</f>
        <v>SI</v>
      </c>
      <c r="L5" s="25">
        <f t="shared" si="0"/>
        <v>12.963402650206516</v>
      </c>
      <c r="M5" s="12">
        <f t="shared" ref="M5:M10" si="4">((L5*$C$4*$C$17)-(((L5^2)*($C$4^2))/(2*$C$5*$C$9*$C$14)))*0.001</f>
        <v>168.51011467460077</v>
      </c>
      <c r="N5" s="12">
        <f t="shared" ref="N5:N10" si="5">M5*0.9</f>
        <v>151.6591032071407</v>
      </c>
      <c r="Q5" s="14"/>
      <c r="R5" s="17"/>
      <c r="S5" s="18"/>
      <c r="T5" s="18"/>
      <c r="U5" s="18"/>
      <c r="V5" s="14"/>
      <c r="W5" s="14"/>
      <c r="X5" s="14"/>
      <c r="Y5" s="14"/>
      <c r="Z5" s="14"/>
    </row>
    <row r="6" spans="2:26" x14ac:dyDescent="0.25">
      <c r="B6" s="2" t="s">
        <v>3</v>
      </c>
      <c r="C6" s="2">
        <v>1</v>
      </c>
      <c r="G6" s="2" t="s">
        <v>29</v>
      </c>
      <c r="H6" s="2">
        <v>129.97</v>
      </c>
      <c r="I6" s="12">
        <f t="shared" si="1"/>
        <v>144.4111111111111</v>
      </c>
      <c r="J6" s="12">
        <f t="shared" si="2"/>
        <v>10.941217818636039</v>
      </c>
      <c r="K6" s="2" t="str">
        <f t="shared" si="3"/>
        <v>SI</v>
      </c>
      <c r="L6" s="25">
        <f t="shared" si="0"/>
        <v>10.941217818636039</v>
      </c>
      <c r="M6" s="12">
        <f t="shared" si="4"/>
        <v>144.41040129976213</v>
      </c>
      <c r="N6" s="12">
        <f t="shared" si="5"/>
        <v>129.96936116978591</v>
      </c>
      <c r="Q6" s="14"/>
    </row>
    <row r="7" spans="2:26" x14ac:dyDescent="0.25">
      <c r="B7" s="2" t="s">
        <v>4</v>
      </c>
      <c r="C7" s="2">
        <v>200000</v>
      </c>
      <c r="G7" s="2" t="s">
        <v>29</v>
      </c>
      <c r="H7" s="2">
        <v>157.44999999999999</v>
      </c>
      <c r="I7" s="12">
        <f t="shared" si="1"/>
        <v>174.94444444444443</v>
      </c>
      <c r="J7" s="12">
        <f t="shared" si="2"/>
        <v>13.514982376236961</v>
      </c>
      <c r="K7" s="2" t="str">
        <f t="shared" si="3"/>
        <v>SI</v>
      </c>
      <c r="L7" s="25">
        <f t="shared" si="0"/>
        <v>13.514982376236961</v>
      </c>
      <c r="M7" s="12">
        <f t="shared" si="4"/>
        <v>174.94336140922897</v>
      </c>
      <c r="N7" s="12">
        <f t="shared" si="5"/>
        <v>157.44902526830609</v>
      </c>
      <c r="Q7" s="14"/>
    </row>
    <row r="8" spans="2:26" x14ac:dyDescent="0.25">
      <c r="B8" s="2" t="s">
        <v>5</v>
      </c>
      <c r="C8" s="3">
        <f>(4700*(SQRT(C5)))</f>
        <v>21538.105766292447</v>
      </c>
      <c r="G8" s="2" t="s">
        <v>30</v>
      </c>
      <c r="H8" s="2">
        <v>155.82</v>
      </c>
      <c r="I8" s="12">
        <f t="shared" si="1"/>
        <v>173.13333333333333</v>
      </c>
      <c r="J8" s="12">
        <f t="shared" si="2"/>
        <v>13.359179292390246</v>
      </c>
      <c r="K8" s="2" t="str">
        <f t="shared" si="3"/>
        <v>SI</v>
      </c>
      <c r="L8" s="25">
        <f t="shared" si="0"/>
        <v>13.359179292390246</v>
      </c>
      <c r="M8" s="12">
        <f t="shared" si="4"/>
        <v>173.13227512502309</v>
      </c>
      <c r="N8" s="12">
        <f t="shared" si="5"/>
        <v>155.81904761252079</v>
      </c>
      <c r="Q8" s="14"/>
    </row>
    <row r="9" spans="2:26" x14ac:dyDescent="0.25">
      <c r="B9" s="4" t="s">
        <v>6</v>
      </c>
      <c r="C9" s="2">
        <v>0.85</v>
      </c>
      <c r="G9" s="2" t="s">
        <v>31</v>
      </c>
      <c r="H9" s="2">
        <v>174.21</v>
      </c>
      <c r="I9" s="12">
        <f t="shared" si="1"/>
        <v>193.56666666666666</v>
      </c>
      <c r="J9" s="12">
        <f t="shared" si="2"/>
        <v>15.141629871996932</v>
      </c>
      <c r="K9" s="2" t="str">
        <f t="shared" si="3"/>
        <v>SI</v>
      </c>
      <c r="L9" s="25">
        <f t="shared" si="0"/>
        <v>15.141629871996932</v>
      </c>
      <c r="M9" s="12">
        <f t="shared" si="4"/>
        <v>193.56530723662658</v>
      </c>
      <c r="N9" s="12">
        <f t="shared" si="5"/>
        <v>174.20877651296394</v>
      </c>
      <c r="Q9" s="14"/>
    </row>
    <row r="10" spans="2:26" x14ac:dyDescent="0.25">
      <c r="B10" s="2" t="s">
        <v>7</v>
      </c>
      <c r="C10" s="2">
        <v>0.85</v>
      </c>
      <c r="G10" s="2" t="s">
        <v>31</v>
      </c>
      <c r="H10" s="2">
        <v>173.42</v>
      </c>
      <c r="I10" s="12">
        <f t="shared" si="1"/>
        <v>192.68888888888887</v>
      </c>
      <c r="J10" s="12">
        <f t="shared" si="2"/>
        <v>15.063917139150604</v>
      </c>
      <c r="K10" s="2" t="str">
        <f t="shared" si="3"/>
        <v>SI</v>
      </c>
      <c r="L10" s="25">
        <f t="shared" si="0"/>
        <v>15.063917139150604</v>
      </c>
      <c r="M10" s="12">
        <f t="shared" si="4"/>
        <v>192.6875433772866</v>
      </c>
      <c r="N10" s="12">
        <f t="shared" si="5"/>
        <v>173.41878903955794</v>
      </c>
      <c r="Q10" s="14"/>
    </row>
    <row r="11" spans="2:26" x14ac:dyDescent="0.25">
      <c r="H11" s="47">
        <v>164.81</v>
      </c>
      <c r="I11" s="48">
        <f t="shared" si="1"/>
        <v>183.12222222222223</v>
      </c>
      <c r="J11" s="48">
        <f t="shared" si="2"/>
        <v>14.223694309939884</v>
      </c>
      <c r="K11" s="47" t="str">
        <f t="shared" si="3"/>
        <v>SI</v>
      </c>
      <c r="L11" s="25">
        <f>IF((J11)=H35,H35,MIN(H35,$C$34))</f>
        <v>14.223694309939884</v>
      </c>
      <c r="M11" s="12">
        <f t="shared" ref="M11:M16" si="6">((L11*$C$4*$C$17)-(((L11^2)*($C$4^2))/(2*$C$5*$C$9*$C$14)))*0.001</f>
        <v>183.12102262229479</v>
      </c>
      <c r="N11" s="12">
        <f t="shared" ref="N11:N16" si="7">M11*0.9</f>
        <v>164.80892036006531</v>
      </c>
      <c r="Q11" s="14"/>
    </row>
    <row r="12" spans="2:26" x14ac:dyDescent="0.25">
      <c r="H12" s="47">
        <v>153.51</v>
      </c>
      <c r="I12" s="48">
        <f t="shared" si="1"/>
        <v>170.56666666666666</v>
      </c>
      <c r="J12" s="48">
        <f t="shared" si="2"/>
        <v>13.139081922996619</v>
      </c>
      <c r="K12" s="47" t="str">
        <f t="shared" si="3"/>
        <v>SI</v>
      </c>
      <c r="L12" s="25">
        <f t="shared" ref="L11:L16" si="8">IF((J12)=H36,H36,MIN(H36,$C$34))</f>
        <v>13.139081922996619</v>
      </c>
      <c r="M12" s="12">
        <f t="shared" si="6"/>
        <v>170.56564303985738</v>
      </c>
      <c r="N12" s="12">
        <f t="shared" si="7"/>
        <v>153.50907873587164</v>
      </c>
      <c r="Q12" s="14"/>
    </row>
    <row r="13" spans="2:26" x14ac:dyDescent="0.25">
      <c r="B13" s="35" t="s">
        <v>8</v>
      </c>
      <c r="C13" s="35"/>
      <c r="H13" s="47">
        <v>160.29</v>
      </c>
      <c r="I13" s="48">
        <f t="shared" si="1"/>
        <v>178.1</v>
      </c>
      <c r="J13" s="48">
        <f t="shared" si="2"/>
        <v>13.787434843746436</v>
      </c>
      <c r="K13" s="47" t="str">
        <f t="shared" si="3"/>
        <v>SI</v>
      </c>
      <c r="L13" s="25">
        <f t="shared" si="8"/>
        <v>13.787434843746436</v>
      </c>
      <c r="M13" s="12">
        <f t="shared" si="6"/>
        <v>178.09887285819738</v>
      </c>
      <c r="N13" s="12">
        <f t="shared" si="7"/>
        <v>160.28898557237764</v>
      </c>
      <c r="Q13" s="14"/>
    </row>
    <row r="14" spans="2:26" x14ac:dyDescent="0.25">
      <c r="B14" s="1" t="s">
        <v>9</v>
      </c>
      <c r="C14" s="1">
        <v>50</v>
      </c>
      <c r="H14" s="47">
        <v>155.6</v>
      </c>
      <c r="I14" s="48">
        <f t="shared" si="1"/>
        <v>172.88888888888889</v>
      </c>
      <c r="J14" s="48">
        <f t="shared" si="2"/>
        <v>13.338182213112907</v>
      </c>
      <c r="K14" s="47" t="str">
        <f t="shared" si="3"/>
        <v>SI</v>
      </c>
      <c r="L14" s="25">
        <f t="shared" si="8"/>
        <v>13.338182213112907</v>
      </c>
      <c r="M14" s="12">
        <f t="shared" si="6"/>
        <v>172.88783400440886</v>
      </c>
      <c r="N14" s="12">
        <f t="shared" si="7"/>
        <v>155.59905060396798</v>
      </c>
      <c r="Q14" s="14"/>
    </row>
    <row r="15" spans="2:26" x14ac:dyDescent="0.25">
      <c r="B15" s="1" t="s">
        <v>10</v>
      </c>
      <c r="C15" s="1">
        <v>40</v>
      </c>
      <c r="H15" s="47">
        <v>172.95</v>
      </c>
      <c r="I15" s="48">
        <f t="shared" si="1"/>
        <v>192.16666666666666</v>
      </c>
      <c r="J15" s="48">
        <f t="shared" si="2"/>
        <v>15.017733042061906</v>
      </c>
      <c r="K15" s="47" t="str">
        <f t="shared" si="3"/>
        <v>SI</v>
      </c>
      <c r="L15" s="25">
        <f t="shared" si="8"/>
        <v>15.017733042061906</v>
      </c>
      <c r="M15" s="12">
        <f t="shared" si="6"/>
        <v>192.16532939275982</v>
      </c>
      <c r="N15" s="12">
        <f t="shared" si="7"/>
        <v>172.94879645348385</v>
      </c>
      <c r="Q15" s="14"/>
      <c r="R15" s="14"/>
      <c r="S15" s="18"/>
      <c r="T15" s="18"/>
      <c r="U15" s="18"/>
      <c r="V15" s="14"/>
      <c r="W15" s="14"/>
      <c r="X15" s="14"/>
      <c r="Y15" s="14"/>
      <c r="Z15" s="14"/>
    </row>
    <row r="16" spans="2:26" x14ac:dyDescent="0.25">
      <c r="B16" s="1" t="s">
        <v>11</v>
      </c>
      <c r="C16" s="1">
        <v>6</v>
      </c>
      <c r="H16" s="47">
        <v>177.87</v>
      </c>
      <c r="I16" s="48">
        <f t="shared" si="1"/>
        <v>197.63333333333333</v>
      </c>
      <c r="J16" s="48">
        <f t="shared" si="2"/>
        <v>15.503054623433263</v>
      </c>
      <c r="K16" s="47" t="str">
        <f t="shared" si="3"/>
        <v>SI</v>
      </c>
      <c r="L16" s="25">
        <f t="shared" si="8"/>
        <v>15.503054623433263</v>
      </c>
      <c r="M16" s="12">
        <f t="shared" si="6"/>
        <v>197.63190823062575</v>
      </c>
      <c r="N16" s="12">
        <f t="shared" si="7"/>
        <v>177.8687174075632</v>
      </c>
      <c r="Q16" s="14"/>
      <c r="R16" s="14"/>
      <c r="S16" s="18"/>
      <c r="T16" s="18"/>
      <c r="U16" s="18"/>
      <c r="V16" s="14"/>
      <c r="W16" s="14"/>
      <c r="X16" s="14"/>
      <c r="Y16" s="14"/>
      <c r="Z16" s="14"/>
    </row>
    <row r="17" spans="2:26" x14ac:dyDescent="0.25">
      <c r="B17" s="1" t="s">
        <v>12</v>
      </c>
      <c r="C17" s="1">
        <f>C15-C16</f>
        <v>34</v>
      </c>
      <c r="H17" s="49">
        <v>37.19</v>
      </c>
      <c r="I17" s="48">
        <f t="shared" si="1"/>
        <v>41.322222222222216</v>
      </c>
      <c r="J17" s="48">
        <f>((($C$4/10000)*$C$17)-SQRT(((($C$4/10000)*$C$17)^2)-(4*(0.1*I17)*((0.5882*(($C$4/10000)^2))/(($C$5/10000)*$C$14)))))/(2*((0.5882*(($C$4/10000)^2))/(($C$5/10000)*$C$14)))</f>
        <v>2.9541019308389407</v>
      </c>
      <c r="K17" s="47" t="str">
        <f t="shared" si="3"/>
        <v>SI</v>
      </c>
      <c r="L17" s="25">
        <f t="shared" ref="L17:L24" si="9">IF((J17)=H41,H41,MIN(H41,$C$34))</f>
        <v>3.9289555680157915</v>
      </c>
      <c r="M17" s="12">
        <f t="shared" ref="M17:M24" si="10">((L17*$C$4*$C$17)-(((L17^2)*($C$4^2))/(2*$C$5*$C$9*$C$14)))*0.001</f>
        <v>54.579977139668856</v>
      </c>
      <c r="N17" s="12">
        <f t="shared" ref="N17:N24" si="11">M17*0.9</f>
        <v>49.121979425701973</v>
      </c>
      <c r="Q17" s="14"/>
      <c r="R17" s="14"/>
      <c r="S17" s="18"/>
      <c r="T17" s="18"/>
      <c r="U17" s="18"/>
      <c r="V17" s="14"/>
      <c r="W17" s="14"/>
      <c r="X17" s="14"/>
      <c r="Y17" s="14"/>
      <c r="Z17" s="14"/>
    </row>
    <row r="18" spans="2:26" x14ac:dyDescent="0.25">
      <c r="H18" s="49">
        <v>52.6</v>
      </c>
      <c r="I18" s="48">
        <f t="shared" si="1"/>
        <v>58.444444444444443</v>
      </c>
      <c r="J18" s="48">
        <f t="shared" ref="J18:J24" si="12">((($C$4/10000)*$C$17)-SQRT(((($C$4/10000)*$C$17)^2)-(4*(0.1*I18)*((0.5882*(($C$4/10000)^2))/(($C$5/10000)*$C$14)))))/(2*((0.5882*(($C$4/10000)^2))/(($C$5/10000)*$C$14)))</f>
        <v>4.2157332666669962</v>
      </c>
      <c r="K18" s="47" t="str">
        <f t="shared" si="3"/>
        <v>SI</v>
      </c>
      <c r="L18" s="25">
        <f t="shared" si="9"/>
        <v>5.6069252446671056</v>
      </c>
      <c r="M18" s="12">
        <f t="shared" si="10"/>
        <v>76.960116848269848</v>
      </c>
      <c r="N18" s="12">
        <f t="shared" si="11"/>
        <v>69.264105163442863</v>
      </c>
      <c r="Q18" s="14"/>
      <c r="R18" s="17"/>
      <c r="S18" s="18"/>
      <c r="T18" s="18"/>
      <c r="U18" s="18"/>
      <c r="V18" s="14"/>
      <c r="W18" s="14"/>
      <c r="X18" s="14"/>
      <c r="Y18" s="14"/>
      <c r="Z18" s="14"/>
    </row>
    <row r="19" spans="2:26" x14ac:dyDescent="0.25">
      <c r="B19" s="35" t="s">
        <v>13</v>
      </c>
      <c r="C19" s="35"/>
      <c r="H19" s="49">
        <v>45.21</v>
      </c>
      <c r="I19" s="48">
        <f t="shared" si="1"/>
        <v>50.233333333333334</v>
      </c>
      <c r="J19" s="48">
        <f t="shared" si="12"/>
        <v>3.6078133440117184</v>
      </c>
      <c r="K19" s="47" t="str">
        <f t="shared" si="3"/>
        <v>SI</v>
      </c>
      <c r="L19" s="25">
        <f t="shared" si="9"/>
        <v>4.7983917475355859</v>
      </c>
      <c r="M19" s="12">
        <f t="shared" si="10"/>
        <v>66.245665540129721</v>
      </c>
      <c r="N19" s="12">
        <f t="shared" si="11"/>
        <v>59.621098986116749</v>
      </c>
      <c r="Q19" s="15"/>
    </row>
    <row r="20" spans="2:26" x14ac:dyDescent="0.25">
      <c r="B20" s="2" t="s">
        <v>14</v>
      </c>
      <c r="C20" s="2">
        <f>0.375*C17</f>
        <v>12.75</v>
      </c>
      <c r="H20" s="49">
        <v>54.53</v>
      </c>
      <c r="I20" s="48">
        <f t="shared" si="1"/>
        <v>60.588888888888889</v>
      </c>
      <c r="J20" s="48">
        <f t="shared" si="12"/>
        <v>4.3753965256972274</v>
      </c>
      <c r="K20" s="47" t="str">
        <f t="shared" si="3"/>
        <v>SI</v>
      </c>
      <c r="L20" s="25">
        <f t="shared" si="9"/>
        <v>5.666666666666667</v>
      </c>
      <c r="M20" s="12">
        <f t="shared" si="10"/>
        <v>77.74666666666667</v>
      </c>
      <c r="N20" s="12">
        <f t="shared" si="11"/>
        <v>69.972000000000008</v>
      </c>
      <c r="Q20" s="15"/>
    </row>
    <row r="21" spans="2:26" ht="15.75" thickBot="1" x14ac:dyDescent="0.3">
      <c r="B21" s="5" t="s">
        <v>15</v>
      </c>
      <c r="C21" s="5">
        <f>C10*C20</f>
        <v>10.8375</v>
      </c>
      <c r="H21" s="49">
        <v>61.16</v>
      </c>
      <c r="I21" s="48">
        <f t="shared" si="1"/>
        <v>67.955555555555549</v>
      </c>
      <c r="J21" s="48">
        <f t="shared" si="12"/>
        <v>4.9267614138091282</v>
      </c>
      <c r="K21" s="47" t="str">
        <f t="shared" si="3"/>
        <v>SI</v>
      </c>
      <c r="L21" s="25">
        <f t="shared" si="9"/>
        <v>5.666666666666667</v>
      </c>
      <c r="M21" s="12">
        <f t="shared" si="10"/>
        <v>77.74666666666667</v>
      </c>
      <c r="N21" s="12">
        <f t="shared" si="11"/>
        <v>69.972000000000008</v>
      </c>
      <c r="Q21" s="15"/>
    </row>
    <row r="22" spans="2:26" ht="15.75" thickBot="1" x14ac:dyDescent="0.3">
      <c r="B22" s="8" t="s">
        <v>16</v>
      </c>
      <c r="C22" s="10">
        <f>(C9*C5*C10*C20*C14)/C4</f>
        <v>23.029687499999994</v>
      </c>
      <c r="H22" s="49">
        <v>53.06</v>
      </c>
      <c r="I22" s="48">
        <f t="shared" si="1"/>
        <v>58.955555555555556</v>
      </c>
      <c r="J22" s="48">
        <f t="shared" si="12"/>
        <v>4.2537536948460914</v>
      </c>
      <c r="K22" s="47" t="str">
        <f t="shared" si="3"/>
        <v>SI</v>
      </c>
      <c r="L22" s="25">
        <f t="shared" si="9"/>
        <v>5.6574924141453016</v>
      </c>
      <c r="M22" s="12">
        <f t="shared" si="10"/>
        <v>77.625925185814467</v>
      </c>
      <c r="N22" s="12">
        <f t="shared" si="11"/>
        <v>69.863332667233024</v>
      </c>
      <c r="Q22" s="15"/>
    </row>
    <row r="23" spans="2:26" x14ac:dyDescent="0.25">
      <c r="B23" s="6" t="s">
        <v>17</v>
      </c>
      <c r="C23" s="6">
        <f>(C22*C4*((C17-(C21/2))))*0.001</f>
        <v>276.45124746093751</v>
      </c>
      <c r="H23" s="49">
        <v>53.12</v>
      </c>
      <c r="I23" s="48">
        <f t="shared" si="1"/>
        <v>59.022222222222219</v>
      </c>
      <c r="J23" s="48">
        <f t="shared" si="12"/>
        <v>4.2587144484659047</v>
      </c>
      <c r="K23" s="47" t="str">
        <f t="shared" si="3"/>
        <v>SI</v>
      </c>
      <c r="L23" s="25">
        <f t="shared" si="9"/>
        <v>5.6640902164596536</v>
      </c>
      <c r="M23" s="12">
        <f t="shared" si="10"/>
        <v>77.71275992594235</v>
      </c>
      <c r="N23" s="12">
        <f t="shared" si="11"/>
        <v>69.941483933348124</v>
      </c>
    </row>
    <row r="24" spans="2:26" x14ac:dyDescent="0.25">
      <c r="B24" s="2" t="s">
        <v>18</v>
      </c>
      <c r="C24" s="2">
        <f>0.9*C23</f>
        <v>248.80612271484375</v>
      </c>
      <c r="H24" s="49">
        <v>65.91</v>
      </c>
      <c r="I24" s="48">
        <f t="shared" si="1"/>
        <v>73.233333333333334</v>
      </c>
      <c r="J24" s="48">
        <f t="shared" si="12"/>
        <v>5.3245742354681722</v>
      </c>
      <c r="K24" s="47" t="str">
        <f t="shared" si="3"/>
        <v>SI</v>
      </c>
      <c r="L24" s="25">
        <f t="shared" si="9"/>
        <v>5.666666666666667</v>
      </c>
      <c r="M24" s="12">
        <f t="shared" si="10"/>
        <v>77.74666666666667</v>
      </c>
      <c r="N24" s="12">
        <f t="shared" si="11"/>
        <v>69.972000000000008</v>
      </c>
    </row>
    <row r="25" spans="2:26" x14ac:dyDescent="0.25">
      <c r="B25" s="2" t="s">
        <v>20</v>
      </c>
      <c r="C25" s="2">
        <f>0.588*C17</f>
        <v>19.991999999999997</v>
      </c>
    </row>
    <row r="26" spans="2:26" x14ac:dyDescent="0.25">
      <c r="B26" s="2" t="s">
        <v>21</v>
      </c>
      <c r="C26" s="2">
        <f>C10*C25</f>
        <v>16.993199999999998</v>
      </c>
    </row>
    <row r="27" spans="2:26" x14ac:dyDescent="0.25">
      <c r="B27" s="2" t="s">
        <v>22</v>
      </c>
      <c r="C27" s="2">
        <f>(C9*C5*C10*C25*C14)/C4</f>
        <v>36.110549999999989</v>
      </c>
      <c r="H27" s="24" t="s">
        <v>41</v>
      </c>
    </row>
    <row r="28" spans="2:26" x14ac:dyDescent="0.25">
      <c r="B28" s="2" t="s">
        <v>19</v>
      </c>
      <c r="C28" s="2">
        <f>(C27*C4*(C17-(C26/2)))*0.001</f>
        <v>386.79555636539988</v>
      </c>
      <c r="H28" s="2">
        <f t="shared" ref="H28:H52" si="13">IF((J4)&lt;$C$34,((J4)*1.33),(J4))</f>
        <v>5.3599918529726169</v>
      </c>
    </row>
    <row r="29" spans="2:26" x14ac:dyDescent="0.25">
      <c r="B29" s="2" t="s">
        <v>23</v>
      </c>
      <c r="C29" s="2">
        <f>0.65*C28</f>
        <v>251.41711163750992</v>
      </c>
      <c r="H29" s="2">
        <f t="shared" si="13"/>
        <v>12.963402650206516</v>
      </c>
    </row>
    <row r="30" spans="2:26" x14ac:dyDescent="0.25">
      <c r="H30" s="2">
        <f t="shared" si="13"/>
        <v>10.941217818636039</v>
      </c>
    </row>
    <row r="31" spans="2:26" ht="15.75" thickBot="1" x14ac:dyDescent="0.3">
      <c r="H31" s="2">
        <f t="shared" si="13"/>
        <v>13.514982376236961</v>
      </c>
    </row>
    <row r="32" spans="2:26" x14ac:dyDescent="0.25">
      <c r="B32" s="7" t="s">
        <v>24</v>
      </c>
      <c r="C32" s="9">
        <f>((SQRT(C5)))*0.25*C14*C17/C4</f>
        <v>4.6371301675148384</v>
      </c>
      <c r="H32" s="2">
        <f t="shared" si="13"/>
        <v>13.359179292390246</v>
      </c>
    </row>
    <row r="33" spans="2:8" x14ac:dyDescent="0.25">
      <c r="B33" s="19" t="s">
        <v>25</v>
      </c>
      <c r="C33" s="20">
        <f>(1.4*C14*C17)/(C4)</f>
        <v>5.666666666666667</v>
      </c>
      <c r="H33" s="2">
        <f t="shared" si="13"/>
        <v>15.141629871996932</v>
      </c>
    </row>
    <row r="34" spans="2:8" ht="15.75" thickBot="1" x14ac:dyDescent="0.3">
      <c r="B34" s="22" t="s">
        <v>43</v>
      </c>
      <c r="C34" s="21">
        <f>MAX(C32:C33)</f>
        <v>5.666666666666667</v>
      </c>
      <c r="H34" s="2">
        <f t="shared" si="13"/>
        <v>15.063917139150604</v>
      </c>
    </row>
    <row r="35" spans="2:8" ht="15.75" thickBot="1" x14ac:dyDescent="0.3">
      <c r="B35" s="22"/>
      <c r="C35" s="21"/>
      <c r="H35" s="2">
        <f t="shared" si="13"/>
        <v>14.223694309939884</v>
      </c>
    </row>
    <row r="36" spans="2:8" x14ac:dyDescent="0.25">
      <c r="H36" s="2">
        <f t="shared" si="13"/>
        <v>13.139081922996619</v>
      </c>
    </row>
    <row r="37" spans="2:8" x14ac:dyDescent="0.25">
      <c r="H37" s="2">
        <f t="shared" si="13"/>
        <v>13.787434843746436</v>
      </c>
    </row>
    <row r="38" spans="2:8" x14ac:dyDescent="0.25">
      <c r="H38" s="2">
        <f t="shared" si="13"/>
        <v>13.338182213112907</v>
      </c>
    </row>
    <row r="39" spans="2:8" x14ac:dyDescent="0.25">
      <c r="D39" t="s">
        <v>42</v>
      </c>
      <c r="H39" s="2">
        <f t="shared" si="13"/>
        <v>15.017733042061906</v>
      </c>
    </row>
    <row r="40" spans="2:8" x14ac:dyDescent="0.25">
      <c r="H40" s="2">
        <f t="shared" si="13"/>
        <v>15.503054623433263</v>
      </c>
    </row>
    <row r="41" spans="2:8" x14ac:dyDescent="0.25">
      <c r="H41" s="2">
        <f t="shared" si="13"/>
        <v>3.9289555680157915</v>
      </c>
    </row>
    <row r="42" spans="2:8" x14ac:dyDescent="0.25">
      <c r="H42" s="2">
        <f t="shared" si="13"/>
        <v>5.6069252446671056</v>
      </c>
    </row>
    <row r="43" spans="2:8" x14ac:dyDescent="0.25">
      <c r="H43" s="2">
        <f t="shared" si="13"/>
        <v>4.7983917475355859</v>
      </c>
    </row>
    <row r="44" spans="2:8" x14ac:dyDescent="0.25">
      <c r="H44" s="2">
        <f t="shared" si="13"/>
        <v>5.8192773791773131</v>
      </c>
    </row>
    <row r="45" spans="2:8" x14ac:dyDescent="0.25">
      <c r="H45" s="2">
        <f t="shared" si="13"/>
        <v>6.552592680366141</v>
      </c>
    </row>
    <row r="46" spans="2:8" x14ac:dyDescent="0.25">
      <c r="H46" s="2">
        <f t="shared" si="13"/>
        <v>5.6574924141453016</v>
      </c>
    </row>
    <row r="47" spans="2:8" x14ac:dyDescent="0.25">
      <c r="H47" s="2">
        <f t="shared" si="13"/>
        <v>5.6640902164596536</v>
      </c>
    </row>
    <row r="48" spans="2:8" x14ac:dyDescent="0.25">
      <c r="H48" s="2">
        <f t="shared" si="13"/>
        <v>7.0816837331726692</v>
      </c>
    </row>
    <row r="49" spans="8:8" x14ac:dyDescent="0.25">
      <c r="H49" s="2">
        <f t="shared" si="13"/>
        <v>0</v>
      </c>
    </row>
    <row r="50" spans="8:8" x14ac:dyDescent="0.25">
      <c r="H50" s="2">
        <f t="shared" si="13"/>
        <v>0</v>
      </c>
    </row>
    <row r="51" spans="8:8" x14ac:dyDescent="0.25">
      <c r="H51" s="2">
        <f t="shared" si="13"/>
        <v>0</v>
      </c>
    </row>
    <row r="52" spans="8:8" x14ac:dyDescent="0.25">
      <c r="H52" s="2">
        <f t="shared" si="13"/>
        <v>0</v>
      </c>
    </row>
  </sheetData>
  <mergeCells count="5">
    <mergeCell ref="B13:C13"/>
    <mergeCell ref="B19:C19"/>
    <mergeCell ref="M2:N2"/>
    <mergeCell ref="J1:K1"/>
    <mergeCell ref="B3:C3"/>
  </mergeCells>
  <conditionalFormatting sqref="Z15:Z18 K4:K24">
    <cfRule type="containsText" dxfId="15" priority="7" operator="containsText" text="NO">
      <formula>NOT(ISERROR(SEARCH("NO",K4)))</formula>
    </cfRule>
    <cfRule type="containsText" dxfId="14" priority="8" operator="containsText" text="SI">
      <formula>NOT(ISERROR(SEARCH("SI",K4)))</formula>
    </cfRule>
  </conditionalFormatting>
  <conditionalFormatting sqref="Z2:Z5">
    <cfRule type="containsText" dxfId="13" priority="1" operator="containsText" text="NO">
      <formula>NOT(ISERROR(SEARCH("NO",Z2)))</formula>
    </cfRule>
    <cfRule type="containsText" dxfId="12" priority="2" operator="containsText" text="SI">
      <formula>NOT(ISERROR(SEARCH("SI",Z2)))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5"/>
  <sheetViews>
    <sheetView topLeftCell="A4" zoomScale="70" zoomScaleNormal="70" workbookViewId="0">
      <selection activeCell="P15" sqref="P15"/>
    </sheetView>
  </sheetViews>
  <sheetFormatPr baseColWidth="10" defaultRowHeight="15" x14ac:dyDescent="0.25"/>
  <sheetData>
    <row r="2" spans="1:20" ht="23.25" x14ac:dyDescent="0.35">
      <c r="E2" s="39" t="s">
        <v>53</v>
      </c>
      <c r="F2" s="39"/>
      <c r="G2" s="39"/>
      <c r="H2" s="39"/>
      <c r="I2" s="39"/>
      <c r="J2" s="39"/>
    </row>
    <row r="4" spans="1:20" x14ac:dyDescent="0.25">
      <c r="M4" t="s">
        <v>27</v>
      </c>
      <c r="R4" t="s">
        <v>27</v>
      </c>
    </row>
    <row r="5" spans="1:20" x14ac:dyDescent="0.25">
      <c r="L5" t="s">
        <v>52</v>
      </c>
      <c r="M5">
        <v>1.29</v>
      </c>
      <c r="N5" s="33" t="s">
        <v>51</v>
      </c>
      <c r="O5">
        <f>2*M5</f>
        <v>2.58</v>
      </c>
      <c r="Q5" t="s">
        <v>55</v>
      </c>
      <c r="R5">
        <v>0.71</v>
      </c>
      <c r="S5" s="33">
        <v>2</v>
      </c>
      <c r="T5">
        <f>2*R5</f>
        <v>1.42</v>
      </c>
    </row>
    <row r="6" spans="1:20" x14ac:dyDescent="0.25">
      <c r="D6" s="31">
        <v>0</v>
      </c>
      <c r="E6" s="30">
        <v>5</v>
      </c>
    </row>
    <row r="7" spans="1:20" x14ac:dyDescent="0.25">
      <c r="B7" s="40" t="s">
        <v>48</v>
      </c>
      <c r="C7" s="27">
        <v>1</v>
      </c>
      <c r="D7" s="16">
        <f>$A$9*C7</f>
        <v>1.99</v>
      </c>
      <c r="E7" s="32">
        <f>D7+$A$9*E$6</f>
        <v>11.94</v>
      </c>
    </row>
    <row r="8" spans="1:20" x14ac:dyDescent="0.25">
      <c r="B8" s="40"/>
      <c r="C8" s="27">
        <v>2</v>
      </c>
      <c r="D8" s="16">
        <f>$A$9*C8</f>
        <v>3.98</v>
      </c>
      <c r="E8" s="32">
        <f>D8+$A$9*E$6</f>
        <v>13.93</v>
      </c>
      <c r="P8" s="34">
        <v>0.48768515663563228</v>
      </c>
      <c r="Q8" s="26" t="s">
        <v>54</v>
      </c>
    </row>
    <row r="9" spans="1:20" x14ac:dyDescent="0.25">
      <c r="A9" s="26">
        <v>1.99</v>
      </c>
      <c r="B9" s="40"/>
      <c r="C9" s="27">
        <v>3</v>
      </c>
      <c r="D9" s="16">
        <f>$A$9*C9</f>
        <v>5.97</v>
      </c>
      <c r="E9" s="32">
        <f>D9+$A$9*E$6</f>
        <v>15.919999999999998</v>
      </c>
      <c r="P9" s="34">
        <v>1.1257899930809547</v>
      </c>
    </row>
    <row r="10" spans="1:20" x14ac:dyDescent="0.25">
      <c r="B10" s="40"/>
      <c r="C10" s="27">
        <v>4</v>
      </c>
      <c r="D10" s="16">
        <f>$A$9*C10</f>
        <v>7.96</v>
      </c>
      <c r="E10" s="32">
        <f>D10+$A$9*E$6</f>
        <v>17.91</v>
      </c>
      <c r="P10" s="34">
        <v>1.3033017381531866</v>
      </c>
    </row>
    <row r="11" spans="1:20" x14ac:dyDescent="0.25">
      <c r="B11" s="40"/>
      <c r="C11" s="27">
        <v>5</v>
      </c>
      <c r="D11" s="16">
        <f>$A$9*C11</f>
        <v>9.9499999999999993</v>
      </c>
      <c r="E11" s="32">
        <f>D11+$A$9*E$6</f>
        <v>19.899999999999999</v>
      </c>
      <c r="P11" s="34">
        <v>1.117514964487986</v>
      </c>
    </row>
    <row r="12" spans="1:20" x14ac:dyDescent="0.25">
      <c r="C12" s="29"/>
      <c r="P12" s="34">
        <v>1.5472153571917111</v>
      </c>
    </row>
    <row r="13" spans="1:20" x14ac:dyDescent="0.25">
      <c r="C13" s="29"/>
      <c r="I13" s="41" t="s">
        <v>50</v>
      </c>
      <c r="J13" s="41"/>
      <c r="K13" s="41"/>
      <c r="L13" s="41"/>
      <c r="M13" s="41"/>
      <c r="P13" s="34">
        <v>1.2</v>
      </c>
    </row>
    <row r="14" spans="1:20" x14ac:dyDescent="0.25">
      <c r="C14" s="29"/>
      <c r="D14" s="31">
        <v>0</v>
      </c>
      <c r="E14" s="30">
        <v>5</v>
      </c>
      <c r="I14" s="27">
        <v>1</v>
      </c>
      <c r="J14" s="27">
        <v>2</v>
      </c>
      <c r="K14" s="27">
        <v>3</v>
      </c>
      <c r="L14" s="27">
        <v>4</v>
      </c>
      <c r="M14" s="27">
        <v>5</v>
      </c>
      <c r="P14" s="34">
        <v>0.63846196276519884</v>
      </c>
    </row>
    <row r="15" spans="1:20" x14ac:dyDescent="0.25">
      <c r="B15" s="42" t="s">
        <v>44</v>
      </c>
      <c r="C15" s="27">
        <v>1</v>
      </c>
      <c r="D15" s="16">
        <f>$A$17*C15</f>
        <v>2.84</v>
      </c>
      <c r="E15" s="32">
        <f>D15+$A$17*E$14</f>
        <v>17.04</v>
      </c>
      <c r="G15" s="40" t="s">
        <v>48</v>
      </c>
      <c r="H15" s="27">
        <v>1</v>
      </c>
      <c r="I15" s="16">
        <f>$D7+$D$15</f>
        <v>4.83</v>
      </c>
      <c r="J15" s="16">
        <f>$D7+$D$16</f>
        <v>7.67</v>
      </c>
      <c r="K15" s="16">
        <f>$D7+$D$17</f>
        <v>10.51</v>
      </c>
      <c r="L15" s="16">
        <f>$D7+$D$18</f>
        <v>13.35</v>
      </c>
      <c r="M15" s="16">
        <f>$D7+$D$19</f>
        <v>16.189999999999998</v>
      </c>
    </row>
    <row r="16" spans="1:20" x14ac:dyDescent="0.25">
      <c r="B16" s="42"/>
      <c r="C16" s="27">
        <v>2</v>
      </c>
      <c r="D16" s="16">
        <f>$A$17*C16</f>
        <v>5.68</v>
      </c>
      <c r="E16" s="32">
        <f>D16+$A$17*E$14</f>
        <v>19.88</v>
      </c>
      <c r="G16" s="40"/>
      <c r="H16" s="27">
        <v>2</v>
      </c>
      <c r="I16" s="16">
        <f>$D8+$D$15</f>
        <v>6.82</v>
      </c>
      <c r="J16" s="16">
        <f>$D8+$D$16</f>
        <v>9.66</v>
      </c>
      <c r="K16" s="16">
        <f>$D8+$D$17</f>
        <v>12.5</v>
      </c>
      <c r="L16" s="16">
        <f>$D8+$D$18</f>
        <v>15.34</v>
      </c>
      <c r="M16" s="16">
        <f>$D8+$D$19</f>
        <v>18.18</v>
      </c>
    </row>
    <row r="17" spans="1:21" x14ac:dyDescent="0.25">
      <c r="A17" s="26">
        <v>2.84</v>
      </c>
      <c r="B17" s="42"/>
      <c r="C17" s="27">
        <v>3</v>
      </c>
      <c r="D17" s="16">
        <f>$A$17*C17</f>
        <v>8.52</v>
      </c>
      <c r="E17" s="32">
        <f>D17+$A$17*E$14</f>
        <v>22.72</v>
      </c>
      <c r="G17" s="40"/>
      <c r="H17" s="27">
        <v>3</v>
      </c>
      <c r="I17" s="16">
        <f>$D9+$D$15</f>
        <v>8.8099999999999987</v>
      </c>
      <c r="J17" s="16">
        <f>$D9+$D$16</f>
        <v>11.649999999999999</v>
      </c>
      <c r="K17" s="16">
        <f>$D9+$D$17</f>
        <v>14.489999999999998</v>
      </c>
      <c r="L17" s="16">
        <f>$D9+$D$18</f>
        <v>17.329999999999998</v>
      </c>
      <c r="M17" s="16">
        <f>$D9+$D$19</f>
        <v>20.169999999999998</v>
      </c>
    </row>
    <row r="18" spans="1:21" x14ac:dyDescent="0.25">
      <c r="B18" s="42"/>
      <c r="C18" s="27">
        <v>4</v>
      </c>
      <c r="D18" s="16">
        <f>$A$17*C18</f>
        <v>11.36</v>
      </c>
      <c r="E18" s="32">
        <f>D18+$A$17*E$14</f>
        <v>25.56</v>
      </c>
      <c r="G18" s="40"/>
      <c r="H18" s="27">
        <v>4</v>
      </c>
      <c r="I18" s="16">
        <f>$D10+$D$15</f>
        <v>10.8</v>
      </c>
      <c r="J18" s="16">
        <f>$D10+$D$16</f>
        <v>13.64</v>
      </c>
      <c r="K18" s="16">
        <f>$D10+$D$17</f>
        <v>16.48</v>
      </c>
      <c r="L18" s="16">
        <f>$D10+$D$18</f>
        <v>19.32</v>
      </c>
      <c r="M18" s="16">
        <f>$D10+$D$19</f>
        <v>22.16</v>
      </c>
    </row>
    <row r="19" spans="1:21" x14ac:dyDescent="0.25">
      <c r="B19" s="42"/>
      <c r="C19" s="27">
        <v>5</v>
      </c>
      <c r="D19" s="16">
        <f>$A$17*C19</f>
        <v>14.2</v>
      </c>
      <c r="E19" s="32">
        <f>D19+$A$17*E$14</f>
        <v>28.4</v>
      </c>
      <c r="G19" s="40"/>
      <c r="H19" s="27">
        <v>5</v>
      </c>
      <c r="I19" s="16">
        <f>$D11+$D$15</f>
        <v>12.79</v>
      </c>
      <c r="J19" s="16">
        <f>$D11+$D$16</f>
        <v>15.629999999999999</v>
      </c>
      <c r="K19" s="16">
        <f>$D11+$D$17</f>
        <v>18.47</v>
      </c>
      <c r="L19" s="16">
        <f>$D11+$D$18</f>
        <v>21.31</v>
      </c>
      <c r="M19" s="16">
        <f>$D11+$D$19</f>
        <v>24.15</v>
      </c>
    </row>
    <row r="20" spans="1:21" x14ac:dyDescent="0.25">
      <c r="C20" s="29"/>
      <c r="H20" s="29"/>
    </row>
    <row r="21" spans="1:21" x14ac:dyDescent="0.25">
      <c r="C21" s="29"/>
      <c r="H21" s="29"/>
      <c r="I21" s="45" t="s">
        <v>49</v>
      </c>
      <c r="J21" s="45"/>
      <c r="K21" s="45"/>
      <c r="L21" s="45"/>
      <c r="M21" s="45"/>
      <c r="Q21" s="45" t="s">
        <v>49</v>
      </c>
      <c r="R21" s="45"/>
      <c r="S21" s="45"/>
      <c r="T21" s="45"/>
      <c r="U21" s="45"/>
    </row>
    <row r="22" spans="1:21" x14ac:dyDescent="0.25">
      <c r="C22" s="29"/>
      <c r="D22" s="31">
        <v>0</v>
      </c>
      <c r="E22" s="30">
        <v>5</v>
      </c>
      <c r="H22" s="29"/>
      <c r="I22" s="27">
        <v>1</v>
      </c>
      <c r="J22" s="27">
        <v>2</v>
      </c>
      <c r="K22" s="27">
        <v>3</v>
      </c>
      <c r="L22" s="27">
        <v>4</v>
      </c>
      <c r="M22" s="27">
        <v>5</v>
      </c>
      <c r="N22" s="29"/>
      <c r="O22" s="29"/>
      <c r="P22" s="29"/>
      <c r="Q22" s="27">
        <v>1</v>
      </c>
      <c r="R22" s="27">
        <v>2</v>
      </c>
      <c r="S22" s="27">
        <v>3</v>
      </c>
      <c r="T22" s="27">
        <v>4</v>
      </c>
      <c r="U22" s="27">
        <v>5</v>
      </c>
    </row>
    <row r="23" spans="1:21" ht="15" customHeight="1" x14ac:dyDescent="0.25">
      <c r="B23" s="44" t="s">
        <v>45</v>
      </c>
      <c r="C23" s="27">
        <v>1</v>
      </c>
      <c r="D23" s="16">
        <f>$A$25*C23</f>
        <v>3.87</v>
      </c>
      <c r="E23" s="32">
        <f>D23+$A$25*E$22</f>
        <v>23.220000000000002</v>
      </c>
      <c r="G23" s="42" t="s">
        <v>44</v>
      </c>
      <c r="H23" s="27">
        <v>1</v>
      </c>
      <c r="I23" s="26">
        <f>$D15+$D$23</f>
        <v>6.71</v>
      </c>
      <c r="J23" s="26">
        <f>$D15+$D$24</f>
        <v>10.58</v>
      </c>
      <c r="K23" s="26">
        <f>$D15+$D$25</f>
        <v>14.45</v>
      </c>
      <c r="L23" s="26">
        <f>$D15+$D$26</f>
        <v>18.32</v>
      </c>
      <c r="M23" s="26">
        <f>$D15+$D$27</f>
        <v>22.19</v>
      </c>
      <c r="O23" s="40" t="s">
        <v>48</v>
      </c>
      <c r="P23" s="27">
        <v>1</v>
      </c>
      <c r="Q23" s="26">
        <f>$D7+$D$23</f>
        <v>5.86</v>
      </c>
      <c r="R23" s="26">
        <f>$D7+$D$24</f>
        <v>9.73</v>
      </c>
      <c r="S23" s="26">
        <f>$D7+$D$25</f>
        <v>13.6</v>
      </c>
      <c r="T23" s="26">
        <f>$D7+$D$26</f>
        <v>17.47</v>
      </c>
      <c r="U23" s="26">
        <f>$D7+$D$27</f>
        <v>21.34</v>
      </c>
    </row>
    <row r="24" spans="1:21" x14ac:dyDescent="0.25">
      <c r="B24" s="44"/>
      <c r="C24" s="27">
        <v>2</v>
      </c>
      <c r="D24" s="16">
        <f>$A$25*C24</f>
        <v>7.74</v>
      </c>
      <c r="E24" s="32">
        <f>D24+$A$25*E$22</f>
        <v>27.090000000000003</v>
      </c>
      <c r="G24" s="42"/>
      <c r="H24" s="27">
        <v>2</v>
      </c>
      <c r="I24" s="26">
        <f>$D16+$D$23</f>
        <v>9.5500000000000007</v>
      </c>
      <c r="J24" s="26">
        <f>$D16+$D$24</f>
        <v>13.42</v>
      </c>
      <c r="K24" s="26">
        <f>$D16+$D$25</f>
        <v>17.29</v>
      </c>
      <c r="L24" s="26">
        <f>$D16+$D$26</f>
        <v>21.16</v>
      </c>
      <c r="M24" s="26">
        <f>$D16+$D$27</f>
        <v>25.03</v>
      </c>
      <c r="O24" s="40"/>
      <c r="P24" s="27">
        <v>2</v>
      </c>
      <c r="Q24" s="26">
        <f>$D8+$D$23</f>
        <v>7.85</v>
      </c>
      <c r="R24" s="26">
        <f>$D8+$D$24</f>
        <v>11.72</v>
      </c>
      <c r="S24" s="26">
        <f>$D8+$D$25</f>
        <v>15.59</v>
      </c>
      <c r="T24" s="26">
        <f>$D8+$D$26</f>
        <v>19.46</v>
      </c>
      <c r="U24" s="26">
        <f>$D8+$D$27</f>
        <v>23.330000000000002</v>
      </c>
    </row>
    <row r="25" spans="1:21" x14ac:dyDescent="0.25">
      <c r="A25" s="26">
        <v>3.87</v>
      </c>
      <c r="B25" s="44"/>
      <c r="C25" s="27">
        <v>3</v>
      </c>
      <c r="D25" s="16">
        <f>$A$25*C25</f>
        <v>11.61</v>
      </c>
      <c r="E25" s="32">
        <f>D25+$A$25*E$22</f>
        <v>30.96</v>
      </c>
      <c r="G25" s="42"/>
      <c r="H25" s="27">
        <v>3</v>
      </c>
      <c r="I25" s="26">
        <f>$D17+$D$23</f>
        <v>12.39</v>
      </c>
      <c r="J25" s="26">
        <f>$D17+$D$24</f>
        <v>16.259999999999998</v>
      </c>
      <c r="K25" s="26">
        <f>$D17+$D$25</f>
        <v>20.13</v>
      </c>
      <c r="L25" s="26">
        <f>$D17+$D$26</f>
        <v>24</v>
      </c>
      <c r="M25" s="26">
        <f>$D17+$D$27</f>
        <v>27.87</v>
      </c>
      <c r="O25" s="40"/>
      <c r="P25" s="27">
        <v>3</v>
      </c>
      <c r="Q25" s="26">
        <f>$D9+$D$23</f>
        <v>9.84</v>
      </c>
      <c r="R25" s="26">
        <f>$D9+$D$24</f>
        <v>13.71</v>
      </c>
      <c r="S25" s="26">
        <f>$D9+$D$25</f>
        <v>17.579999999999998</v>
      </c>
      <c r="T25" s="26">
        <f>$D9+$D$26</f>
        <v>21.45</v>
      </c>
      <c r="U25" s="26">
        <f>$D9+$D$27</f>
        <v>25.32</v>
      </c>
    </row>
    <row r="26" spans="1:21" x14ac:dyDescent="0.25">
      <c r="B26" s="44"/>
      <c r="C26" s="27">
        <v>4</v>
      </c>
      <c r="D26" s="16">
        <f>$A$25*C26</f>
        <v>15.48</v>
      </c>
      <c r="E26" s="32">
        <f>D26+$A$25*E$22</f>
        <v>34.83</v>
      </c>
      <c r="G26" s="42"/>
      <c r="H26" s="27">
        <v>4</v>
      </c>
      <c r="I26" s="26">
        <f>$D18+$D$23</f>
        <v>15.23</v>
      </c>
      <c r="J26" s="26">
        <f>$D18+$D$24</f>
        <v>19.100000000000001</v>
      </c>
      <c r="K26" s="26">
        <f>$D18+$D$25</f>
        <v>22.97</v>
      </c>
      <c r="L26" s="26">
        <f>$D18+$D$26</f>
        <v>26.84</v>
      </c>
      <c r="M26" s="26">
        <f>$D18+$D$27</f>
        <v>30.71</v>
      </c>
      <c r="O26" s="40"/>
      <c r="P26" s="27">
        <v>4</v>
      </c>
      <c r="Q26" s="26">
        <f>$D10+$D$23</f>
        <v>11.83</v>
      </c>
      <c r="R26" s="26">
        <f>$D10+$D$24</f>
        <v>15.7</v>
      </c>
      <c r="S26" s="26">
        <f>$D10+$D$25</f>
        <v>19.57</v>
      </c>
      <c r="T26" s="26">
        <f>$D10+$D$26</f>
        <v>23.44</v>
      </c>
      <c r="U26" s="26">
        <f>$D10+$D$27</f>
        <v>27.310000000000002</v>
      </c>
    </row>
    <row r="27" spans="1:21" x14ac:dyDescent="0.25">
      <c r="B27" s="44"/>
      <c r="C27" s="27">
        <v>5</v>
      </c>
      <c r="D27" s="16">
        <f>$A$25*C27</f>
        <v>19.350000000000001</v>
      </c>
      <c r="E27" s="32">
        <f>D27+$A$25*E$22</f>
        <v>38.700000000000003</v>
      </c>
      <c r="G27" s="42"/>
      <c r="H27" s="27">
        <v>5</v>
      </c>
      <c r="I27" s="26">
        <f>$D19+$D$23</f>
        <v>18.07</v>
      </c>
      <c r="J27" s="26">
        <f>$D19+$D$24</f>
        <v>21.939999999999998</v>
      </c>
      <c r="K27" s="26">
        <f>$D19+$D$25</f>
        <v>25.81</v>
      </c>
      <c r="L27" s="26">
        <f>$D19+$D$26</f>
        <v>29.68</v>
      </c>
      <c r="M27" s="26">
        <f>$D19+$D$27</f>
        <v>33.549999999999997</v>
      </c>
      <c r="O27" s="40"/>
      <c r="P27" s="27">
        <v>5</v>
      </c>
      <c r="Q27" s="26">
        <f>$D11+$D$23</f>
        <v>13.82</v>
      </c>
      <c r="R27" s="26">
        <f>$D11+$D$24</f>
        <v>17.689999999999998</v>
      </c>
      <c r="S27" s="26">
        <f>$D11+$D$25</f>
        <v>21.56</v>
      </c>
      <c r="T27" s="26">
        <f>$D11+$D$26</f>
        <v>25.43</v>
      </c>
      <c r="U27" s="26">
        <f>$D11+$D$27</f>
        <v>29.3</v>
      </c>
    </row>
    <row r="28" spans="1:21" x14ac:dyDescent="0.25">
      <c r="C28" s="29"/>
      <c r="H28" s="29"/>
      <c r="P28" s="29"/>
    </row>
    <row r="29" spans="1:21" x14ac:dyDescent="0.25">
      <c r="C29" s="29"/>
      <c r="H29" s="29"/>
      <c r="I29" s="46" t="s">
        <v>47</v>
      </c>
      <c r="J29" s="46"/>
      <c r="K29" s="46"/>
      <c r="L29" s="46"/>
      <c r="M29" s="46"/>
      <c r="P29" s="29"/>
      <c r="Q29" s="46" t="s">
        <v>47</v>
      </c>
      <c r="R29" s="46"/>
      <c r="S29" s="46"/>
      <c r="T29" s="46"/>
      <c r="U29" s="46"/>
    </row>
    <row r="30" spans="1:21" x14ac:dyDescent="0.25">
      <c r="C30" s="29"/>
      <c r="D30" s="31">
        <v>0</v>
      </c>
      <c r="E30" s="30">
        <v>5</v>
      </c>
      <c r="H30" s="29"/>
      <c r="I30" s="27">
        <v>1</v>
      </c>
      <c r="J30" s="27">
        <v>2</v>
      </c>
      <c r="K30" s="27">
        <v>3</v>
      </c>
      <c r="L30" s="27">
        <v>4</v>
      </c>
      <c r="M30" s="27">
        <v>5</v>
      </c>
      <c r="N30" s="29"/>
      <c r="O30" s="29"/>
      <c r="P30" s="29"/>
      <c r="Q30" s="27">
        <v>1</v>
      </c>
      <c r="R30" s="27">
        <v>2</v>
      </c>
      <c r="S30" s="27">
        <v>3</v>
      </c>
      <c r="T30" s="27">
        <v>4</v>
      </c>
      <c r="U30" s="27">
        <v>5</v>
      </c>
    </row>
    <row r="31" spans="1:21" x14ac:dyDescent="0.25">
      <c r="B31" s="43" t="s">
        <v>46</v>
      </c>
      <c r="C31" s="27">
        <v>1</v>
      </c>
      <c r="D31" s="26">
        <f>$A$33*C31</f>
        <v>5.0999999999999996</v>
      </c>
      <c r="E31" s="28">
        <f>D31+$A$33*E$22</f>
        <v>30.6</v>
      </c>
      <c r="G31" s="44" t="s">
        <v>45</v>
      </c>
      <c r="H31" s="27">
        <v>1</v>
      </c>
      <c r="I31" s="26">
        <f>$D23+$D$31</f>
        <v>8.9699999999999989</v>
      </c>
      <c r="J31" s="26">
        <f>$D23+$D$32</f>
        <v>14.07</v>
      </c>
      <c r="K31" s="26">
        <f>$D23+$D$33</f>
        <v>19.169999999999998</v>
      </c>
      <c r="L31" s="26">
        <f>$D23+$D$34</f>
        <v>24.27</v>
      </c>
      <c r="M31" s="26">
        <f>$D23+$D$35</f>
        <v>29.37</v>
      </c>
      <c r="O31" s="42" t="s">
        <v>44</v>
      </c>
      <c r="P31" s="27">
        <v>1</v>
      </c>
      <c r="Q31" s="26">
        <f>$D15+$D$31</f>
        <v>7.9399999999999995</v>
      </c>
      <c r="R31" s="26">
        <f>$D15+$D$32</f>
        <v>13.04</v>
      </c>
      <c r="S31" s="26">
        <f>$D15+$D$33</f>
        <v>18.14</v>
      </c>
      <c r="T31" s="26">
        <f>$D15+$D$34</f>
        <v>23.24</v>
      </c>
      <c r="U31" s="26">
        <f>$D15+$D$35</f>
        <v>28.34</v>
      </c>
    </row>
    <row r="32" spans="1:21" ht="15" customHeight="1" x14ac:dyDescent="0.25">
      <c r="B32" s="43"/>
      <c r="C32" s="27">
        <v>2</v>
      </c>
      <c r="D32" s="26">
        <f>$A$33*C32</f>
        <v>10.199999999999999</v>
      </c>
      <c r="E32" s="28">
        <f>D32+$A$33*E$22</f>
        <v>35.700000000000003</v>
      </c>
      <c r="G32" s="44"/>
      <c r="H32" s="27">
        <v>2</v>
      </c>
      <c r="I32" s="26">
        <f>$D24+$D$31</f>
        <v>12.84</v>
      </c>
      <c r="J32" s="26">
        <f>$D24+$D$32</f>
        <v>17.939999999999998</v>
      </c>
      <c r="K32" s="26">
        <f>$D24+$D$33</f>
        <v>23.04</v>
      </c>
      <c r="L32" s="26">
        <f>$D24+$D$34</f>
        <v>28.14</v>
      </c>
      <c r="M32" s="26">
        <f>$D24+$D$35</f>
        <v>33.24</v>
      </c>
      <c r="O32" s="42"/>
      <c r="P32" s="27">
        <v>2</v>
      </c>
      <c r="Q32" s="26">
        <f>$D16+$D$31</f>
        <v>10.78</v>
      </c>
      <c r="R32" s="26">
        <f>$D16+$D$32</f>
        <v>15.879999999999999</v>
      </c>
      <c r="S32" s="26">
        <f>$D16+$D$33</f>
        <v>20.979999999999997</v>
      </c>
      <c r="T32" s="26">
        <f>$D16+$D$34</f>
        <v>26.08</v>
      </c>
      <c r="U32" s="26">
        <f>$D16+$D$35</f>
        <v>31.18</v>
      </c>
    </row>
    <row r="33" spans="1:21" x14ac:dyDescent="0.25">
      <c r="A33" s="26">
        <v>5.0999999999999996</v>
      </c>
      <c r="B33" s="43"/>
      <c r="C33" s="27">
        <v>3</v>
      </c>
      <c r="D33" s="26">
        <f>$A$33*C33</f>
        <v>15.299999999999999</v>
      </c>
      <c r="E33" s="28">
        <f>D33+$A$33*E$22</f>
        <v>40.799999999999997</v>
      </c>
      <c r="G33" s="44"/>
      <c r="H33" s="27">
        <v>3</v>
      </c>
      <c r="I33" s="26">
        <f>$D25+$D$31</f>
        <v>16.71</v>
      </c>
      <c r="J33" s="26">
        <f>$D25+$D$32</f>
        <v>21.81</v>
      </c>
      <c r="K33" s="26">
        <f>$D25+$D$33</f>
        <v>26.909999999999997</v>
      </c>
      <c r="L33" s="26">
        <f>$D25+$D$34</f>
        <v>32.01</v>
      </c>
      <c r="M33" s="26">
        <f>$D25+$D$35</f>
        <v>37.11</v>
      </c>
      <c r="O33" s="42"/>
      <c r="P33" s="27">
        <v>3</v>
      </c>
      <c r="Q33" s="26">
        <f>$D17+$D$31</f>
        <v>13.62</v>
      </c>
      <c r="R33" s="26">
        <f>$D17+$D$32</f>
        <v>18.72</v>
      </c>
      <c r="S33" s="26">
        <f>$D17+$D$33</f>
        <v>23.82</v>
      </c>
      <c r="T33" s="26">
        <f>$D17+$D$34</f>
        <v>28.919999999999998</v>
      </c>
      <c r="U33" s="26">
        <f>$D17+$D$35</f>
        <v>34.019999999999996</v>
      </c>
    </row>
    <row r="34" spans="1:21" x14ac:dyDescent="0.25">
      <c r="B34" s="43"/>
      <c r="C34" s="27">
        <v>4</v>
      </c>
      <c r="D34" s="26">
        <f>$A$33*C34</f>
        <v>20.399999999999999</v>
      </c>
      <c r="E34" s="28">
        <f>D34+$A$33*E$22</f>
        <v>45.9</v>
      </c>
      <c r="G34" s="44"/>
      <c r="H34" s="27">
        <v>4</v>
      </c>
      <c r="I34" s="26">
        <f>$D26+$D$31</f>
        <v>20.58</v>
      </c>
      <c r="J34" s="26">
        <f>$D26+$D$32</f>
        <v>25.68</v>
      </c>
      <c r="K34" s="26">
        <f>$D26+$D$33</f>
        <v>30.78</v>
      </c>
      <c r="L34" s="26">
        <f>$D26+$D$34</f>
        <v>35.879999999999995</v>
      </c>
      <c r="M34" s="26">
        <f>$D26+$D$35</f>
        <v>40.980000000000004</v>
      </c>
      <c r="O34" s="42"/>
      <c r="P34" s="27">
        <v>4</v>
      </c>
      <c r="Q34" s="26">
        <f>$D18+$D$31</f>
        <v>16.46</v>
      </c>
      <c r="R34" s="26">
        <f>$D18+$D$32</f>
        <v>21.56</v>
      </c>
      <c r="S34" s="26">
        <f>$D18+$D$33</f>
        <v>26.659999999999997</v>
      </c>
      <c r="T34" s="26">
        <f>$D18+$D$34</f>
        <v>31.759999999999998</v>
      </c>
      <c r="U34" s="26">
        <f>$D18+$D$35</f>
        <v>36.86</v>
      </c>
    </row>
    <row r="35" spans="1:21" x14ac:dyDescent="0.25">
      <c r="B35" s="43"/>
      <c r="C35" s="27">
        <v>5</v>
      </c>
      <c r="D35" s="26">
        <f>$A$33*C35</f>
        <v>25.5</v>
      </c>
      <c r="E35" s="28">
        <f>D35+$A$33*E$22</f>
        <v>51</v>
      </c>
      <c r="G35" s="44"/>
      <c r="H35" s="27">
        <v>5</v>
      </c>
      <c r="I35" s="26">
        <f>$D27+$D$31</f>
        <v>24.450000000000003</v>
      </c>
      <c r="J35" s="26">
        <f>$D27+$D$32</f>
        <v>29.55</v>
      </c>
      <c r="K35" s="26">
        <f>$D27+$D$33</f>
        <v>34.65</v>
      </c>
      <c r="L35" s="26">
        <f>$D27+$D$34</f>
        <v>39.75</v>
      </c>
      <c r="M35" s="26">
        <f>$D27+$D$35</f>
        <v>44.85</v>
      </c>
      <c r="O35" s="42"/>
      <c r="P35" s="27">
        <v>5</v>
      </c>
      <c r="Q35" s="26">
        <f>$D19+$D$31</f>
        <v>19.299999999999997</v>
      </c>
      <c r="R35" s="26">
        <f>$D19+$D$32</f>
        <v>24.4</v>
      </c>
      <c r="S35" s="26">
        <f>$D19+$D$33</f>
        <v>29.5</v>
      </c>
      <c r="T35" s="26">
        <f>$D19+$D$34</f>
        <v>34.599999999999994</v>
      </c>
      <c r="U35" s="26">
        <f>$D19+$D$35</f>
        <v>39.700000000000003</v>
      </c>
    </row>
  </sheetData>
  <mergeCells count="15">
    <mergeCell ref="B31:B35"/>
    <mergeCell ref="G31:G35"/>
    <mergeCell ref="O31:O35"/>
    <mergeCell ref="Q21:U21"/>
    <mergeCell ref="B23:B27"/>
    <mergeCell ref="G23:G27"/>
    <mergeCell ref="O23:O27"/>
    <mergeCell ref="I29:M29"/>
    <mergeCell ref="Q29:U29"/>
    <mergeCell ref="I21:M21"/>
    <mergeCell ref="E2:J2"/>
    <mergeCell ref="B7:B11"/>
    <mergeCell ref="I13:M13"/>
    <mergeCell ref="B15:B19"/>
    <mergeCell ref="G15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diseño viga rectangular</vt:lpstr>
      <vt:lpstr>Combinacion Acero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ANDERSON</cp:lastModifiedBy>
  <dcterms:created xsi:type="dcterms:W3CDTF">2012-07-27T03:01:44Z</dcterms:created>
  <dcterms:modified xsi:type="dcterms:W3CDTF">2013-02-26T00:18:43Z</dcterms:modified>
</cp:coreProperties>
</file>